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d9d77e0e589a7b/Desktop/岡大25年/7月25日/"/>
    </mc:Choice>
  </mc:AlternateContent>
  <xr:revisionPtr revIDLastSave="1" documentId="8_{13612B57-9EC6-4689-8A25-C8DE029BB363}" xr6:coauthVersionLast="47" xr6:coauthVersionMax="47" xr10:uidLastSave="{35BCE391-7357-4FBD-A2B8-A8C29360BA32}"/>
  <bookViews>
    <workbookView xWindow="0" yWindow="780" windowWidth="29100" windowHeight="13455" xr2:uid="{F49C57D2-E87A-4EDD-AD30-2582DF0963F2}"/>
  </bookViews>
  <sheets>
    <sheet name="BEV仕様決定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C35" i="1" l="1"/>
  <c r="J10" i="1" a="1"/>
  <c r="J10" i="1" s="1"/>
  <c r="J11" i="1" a="1"/>
  <c r="J11" i="1" s="1"/>
  <c r="J9" i="1" a="1"/>
  <c r="J9" i="1" s="1"/>
  <c r="J8" i="1" a="1"/>
  <c r="J8" i="1" s="1"/>
  <c r="J4" i="1"/>
  <c r="J7" i="1"/>
  <c r="J6" i="1" a="1"/>
  <c r="J6" i="1" s="1"/>
  <c r="C21" i="1" s="1"/>
  <c r="J5" i="1" l="1"/>
  <c r="C26" i="1" s="1"/>
  <c r="C25" i="1"/>
  <c r="C20" i="1" l="1"/>
  <c r="C22" i="1" s="1"/>
  <c r="C17" i="1"/>
  <c r="C18" i="1" s="1"/>
  <c r="C36" i="1" s="1"/>
  <c r="C23" i="1" l="1"/>
  <c r="C24" i="1"/>
  <c r="C28" i="1"/>
  <c r="C29" i="1" l="1"/>
  <c r="C30" i="1" s="1"/>
  <c r="C31" i="1" s="1"/>
  <c r="C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井上 正哉(車開セ)</author>
  </authors>
  <commentList>
    <comment ref="C21" authorId="0" shapeId="0" xr:uid="{25D5EE3D-64C3-49F6-BAE2-8493DE2C53CE}">
      <text>
        <r>
          <rPr>
            <b/>
            <sz val="9"/>
            <color indexed="81"/>
            <rFont val="MS P ゴシック"/>
            <family val="3"/>
            <charset val="128"/>
          </rPr>
          <t>100km/hを超えると空気抵抗支配
60㎞/h以下だと転がり抵抗支配（軽量化が利く）</t>
        </r>
      </text>
    </comment>
    <comment ref="C24" authorId="0" shapeId="0" xr:uid="{E4848C07-ADE4-4D57-903E-1188CE82F5AD}">
      <text>
        <r>
          <rPr>
            <b/>
            <sz val="9"/>
            <color indexed="81"/>
            <rFont val="MS P ゴシック"/>
            <family val="3"/>
            <charset val="128"/>
          </rPr>
          <t>巡航と登坂の落差が大きいのクルマの悩み①</t>
        </r>
      </text>
    </comment>
    <comment ref="C27" authorId="0" shapeId="0" xr:uid="{9C430CDE-2B57-4BFE-8012-77058A17D504}">
      <text>
        <r>
          <rPr>
            <b/>
            <sz val="9"/>
            <color indexed="81"/>
            <rFont val="MS P ゴシック"/>
            <family val="3"/>
            <charset val="128"/>
          </rPr>
          <t>定常と加速の落差が大きいのがクルマの悩み②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<sst xmlns="http://schemas.openxmlformats.org/spreadsheetml/2006/main" count="100" uniqueCount="82">
  <si>
    <t>項目</t>
    <rPh sb="0" eb="2">
      <t>コウモク</t>
    </rPh>
    <phoneticPr fontId="1"/>
  </si>
  <si>
    <t>設計選択</t>
    <rPh sb="0" eb="2">
      <t>セッケイ</t>
    </rPh>
    <rPh sb="2" eb="4">
      <t>センタク</t>
    </rPh>
    <phoneticPr fontId="1"/>
  </si>
  <si>
    <t>選択肢</t>
    <rPh sb="0" eb="3">
      <t>センタクシ</t>
    </rPh>
    <phoneticPr fontId="1"/>
  </si>
  <si>
    <t>選択肢で変化するパラメータ</t>
    <rPh sb="0" eb="3">
      <t>センタクシ</t>
    </rPh>
    <rPh sb="4" eb="6">
      <t>ヘンカ</t>
    </rPh>
    <phoneticPr fontId="1"/>
  </si>
  <si>
    <t>クルマのタイプ</t>
    <phoneticPr fontId="1"/>
  </si>
  <si>
    <t>普通車</t>
    <rPh sb="0" eb="3">
      <t>フツウシャ</t>
    </rPh>
    <phoneticPr fontId="1"/>
  </si>
  <si>
    <t>モビリティ</t>
    <phoneticPr fontId="1"/>
  </si>
  <si>
    <t>軽</t>
    <rPh sb="0" eb="1">
      <t>ケイ</t>
    </rPh>
    <phoneticPr fontId="1"/>
  </si>
  <si>
    <t>プレミアム</t>
    <phoneticPr fontId="1"/>
  </si>
  <si>
    <t>車重（バッテリなし）</t>
    <rPh sb="0" eb="2">
      <t>シャジュウ</t>
    </rPh>
    <phoneticPr fontId="1"/>
  </si>
  <si>
    <t>ボディの形</t>
    <rPh sb="4" eb="5">
      <t>カタチ</t>
    </rPh>
    <phoneticPr fontId="1"/>
  </si>
  <si>
    <t>先進流線形</t>
    <rPh sb="0" eb="2">
      <t>センシン</t>
    </rPh>
    <rPh sb="2" eb="5">
      <t>リュウセンケイ</t>
    </rPh>
    <phoneticPr fontId="1"/>
  </si>
  <si>
    <t>プリウス</t>
    <phoneticPr fontId="1"/>
  </si>
  <si>
    <t>SUV</t>
    <phoneticPr fontId="1"/>
  </si>
  <si>
    <t>バッテリ重量</t>
    <rPh sb="4" eb="6">
      <t>ジュウリョウ</t>
    </rPh>
    <phoneticPr fontId="1"/>
  </si>
  <si>
    <t>ギヤ比</t>
    <rPh sb="2" eb="3">
      <t>ヒ</t>
    </rPh>
    <phoneticPr fontId="1"/>
  </si>
  <si>
    <t>普通</t>
    <rPh sb="0" eb="2">
      <t>フツウ</t>
    </rPh>
    <phoneticPr fontId="1"/>
  </si>
  <si>
    <t>加速重視</t>
    <rPh sb="0" eb="2">
      <t>カソク</t>
    </rPh>
    <rPh sb="2" eb="4">
      <t>ジュウシ</t>
    </rPh>
    <phoneticPr fontId="1"/>
  </si>
  <si>
    <t>最高速重視</t>
    <rPh sb="0" eb="3">
      <t>サイコウソク</t>
    </rPh>
    <rPh sb="3" eb="5">
      <t>ジュウシ</t>
    </rPh>
    <phoneticPr fontId="1"/>
  </si>
  <si>
    <t>総車重</t>
    <rPh sb="0" eb="1">
      <t>ソウ</t>
    </rPh>
    <rPh sb="1" eb="3">
      <t>シャジュウ</t>
    </rPh>
    <phoneticPr fontId="1"/>
  </si>
  <si>
    <t>横幅 ㎜</t>
    <rPh sb="0" eb="2">
      <t>ヨコハバ</t>
    </rPh>
    <phoneticPr fontId="1"/>
  </si>
  <si>
    <t>CD</t>
    <phoneticPr fontId="1"/>
  </si>
  <si>
    <t>高さ ㎜</t>
    <rPh sb="0" eb="1">
      <t>タカ</t>
    </rPh>
    <phoneticPr fontId="1"/>
  </si>
  <si>
    <t>前面投影面積</t>
    <rPh sb="0" eb="2">
      <t>ゼンメン</t>
    </rPh>
    <rPh sb="2" eb="6">
      <t>トウエイメンセキ</t>
    </rPh>
    <phoneticPr fontId="1"/>
  </si>
  <si>
    <t>最大登坂角度 Degree</t>
    <rPh sb="0" eb="2">
      <t>サイダイ</t>
    </rPh>
    <rPh sb="2" eb="6">
      <t>トハンカクド</t>
    </rPh>
    <phoneticPr fontId="1"/>
  </si>
  <si>
    <t>転がり抵抗係数</t>
    <rPh sb="0" eb="1">
      <t>コロ</t>
    </rPh>
    <rPh sb="3" eb="7">
      <t>テイコウケイスウ</t>
    </rPh>
    <phoneticPr fontId="1"/>
  </si>
  <si>
    <t>タイヤ外径 (mm)</t>
    <rPh sb="3" eb="5">
      <t>ガイケイ</t>
    </rPh>
    <phoneticPr fontId="1"/>
  </si>
  <si>
    <t>タイヤタイプ</t>
    <phoneticPr fontId="1"/>
  </si>
  <si>
    <t>エコ</t>
    <phoneticPr fontId="1"/>
  </si>
  <si>
    <t>ハイグリップ</t>
    <phoneticPr fontId="1"/>
  </si>
  <si>
    <t xml:space="preserve"> </t>
    <phoneticPr fontId="1"/>
  </si>
  <si>
    <t>システム効率</t>
    <rPh sb="4" eb="6">
      <t>コウリツ</t>
    </rPh>
    <phoneticPr fontId="1"/>
  </si>
  <si>
    <t>電池容量 （kWh）</t>
    <rPh sb="0" eb="2">
      <t>デンチ</t>
    </rPh>
    <rPh sb="2" eb="4">
      <t>ヨウリョウ</t>
    </rPh>
    <phoneticPr fontId="1"/>
  </si>
  <si>
    <t>暖房消費電力</t>
    <rPh sb="0" eb="6">
      <t>ダンボウショウヒデンリョク</t>
    </rPh>
    <phoneticPr fontId="1"/>
  </si>
  <si>
    <t>乗員数</t>
    <rPh sb="0" eb="3">
      <t>ジョウインスウ</t>
    </rPh>
    <phoneticPr fontId="1"/>
  </si>
  <si>
    <t>設定速度 （km/h）</t>
    <rPh sb="0" eb="4">
      <t>セッテイソクド</t>
    </rPh>
    <phoneticPr fontId="1"/>
  </si>
  <si>
    <t>高効率</t>
    <rPh sb="0" eb="3">
      <t>コウコウリツ</t>
    </rPh>
    <phoneticPr fontId="1"/>
  </si>
  <si>
    <t>最高レベル</t>
    <rPh sb="0" eb="2">
      <t>サイコウ</t>
    </rPh>
    <phoneticPr fontId="1"/>
  </si>
  <si>
    <t>汎用</t>
    <rPh sb="0" eb="2">
      <t>ハンヨウ</t>
    </rPh>
    <phoneticPr fontId="1"/>
  </si>
  <si>
    <t>暖房</t>
    <rPh sb="0" eb="2">
      <t>ダンボウ</t>
    </rPh>
    <phoneticPr fontId="1"/>
  </si>
  <si>
    <t>なし</t>
  </si>
  <si>
    <t>あり</t>
    <phoneticPr fontId="1"/>
  </si>
  <si>
    <t>なし</t>
    <phoneticPr fontId="1"/>
  </si>
  <si>
    <t>登坂駆動力</t>
    <rPh sb="0" eb="2">
      <t>トハン</t>
    </rPh>
    <rPh sb="2" eb="5">
      <t>クドウリョク</t>
    </rPh>
    <phoneticPr fontId="1"/>
  </si>
  <si>
    <t>N</t>
    <phoneticPr fontId="1"/>
  </si>
  <si>
    <r>
      <t>勾配抵抗[N] = 質量[kg] x 重力加速度[m/s</t>
    </r>
    <r>
      <rPr>
        <i/>
        <vertAlign val="superscript"/>
        <sz val="12"/>
        <color rgb="FF424242"/>
        <rFont val="メイリオ"/>
        <family val="3"/>
        <charset val="128"/>
      </rPr>
      <t>2</t>
    </r>
    <r>
      <rPr>
        <i/>
        <sz val="12"/>
        <color rgb="FF424242"/>
        <rFont val="メイリオ"/>
        <family val="3"/>
        <charset val="128"/>
      </rPr>
      <t>] x sin Θ</t>
    </r>
    <phoneticPr fontId="1"/>
  </si>
  <si>
    <t>登坂駆動力モータ換算トルク</t>
    <rPh sb="0" eb="2">
      <t>トハン</t>
    </rPh>
    <rPh sb="2" eb="5">
      <t>クドウリョク</t>
    </rPh>
    <rPh sb="8" eb="10">
      <t>カンザン</t>
    </rPh>
    <phoneticPr fontId="1"/>
  </si>
  <si>
    <t>Nm</t>
    <phoneticPr fontId="1"/>
  </si>
  <si>
    <t>転がり抵抗</t>
    <rPh sb="0" eb="1">
      <t>コロ</t>
    </rPh>
    <rPh sb="3" eb="5">
      <t>テイコウ</t>
    </rPh>
    <phoneticPr fontId="1"/>
  </si>
  <si>
    <r>
      <t>転がり抵抗[N] = 質量[kg] x 重力加速度[m/s</t>
    </r>
    <r>
      <rPr>
        <i/>
        <vertAlign val="superscript"/>
        <sz val="12"/>
        <color rgb="FF424242"/>
        <rFont val="メイリオ"/>
        <family val="3"/>
        <charset val="128"/>
      </rPr>
      <t>2</t>
    </r>
    <r>
      <rPr>
        <i/>
        <sz val="12"/>
        <color rgb="FF424242"/>
        <rFont val="メイリオ"/>
        <family val="3"/>
        <charset val="128"/>
      </rPr>
      <t>] x 転がり抵抗係数</t>
    </r>
    <phoneticPr fontId="1"/>
  </si>
  <si>
    <t>設定速度巡航の 空気抵抗</t>
    <rPh sb="0" eb="2">
      <t>セッテイ</t>
    </rPh>
    <rPh sb="2" eb="4">
      <t>ソクド</t>
    </rPh>
    <rPh sb="4" eb="6">
      <t>ジュンコウ</t>
    </rPh>
    <rPh sb="8" eb="12">
      <t>クウキテイコウ</t>
    </rPh>
    <phoneticPr fontId="1"/>
  </si>
  <si>
    <r>
      <t>空気抵抗[N] = 1/2x 大気密度[kg/m</t>
    </r>
    <r>
      <rPr>
        <i/>
        <vertAlign val="superscript"/>
        <sz val="12"/>
        <color rgb="FF424242"/>
        <rFont val="メイリオ"/>
        <family val="3"/>
        <charset val="128"/>
      </rPr>
      <t>3</t>
    </r>
    <r>
      <rPr>
        <i/>
        <sz val="12"/>
        <color rgb="FF424242"/>
        <rFont val="メイリオ"/>
        <family val="3"/>
        <charset val="128"/>
      </rPr>
      <t>] x 空気抵抗係数（CD値）×前面投影面積  x 速度[m/s]</t>
    </r>
    <r>
      <rPr>
        <i/>
        <vertAlign val="superscript"/>
        <sz val="12"/>
        <color rgb="FF424242"/>
        <rFont val="メイリオ"/>
        <family val="3"/>
        <charset val="128"/>
      </rPr>
      <t>2</t>
    </r>
    <rPh sb="38" eb="39">
      <t>チ</t>
    </rPh>
    <rPh sb="41" eb="43">
      <t>ゼンメン</t>
    </rPh>
    <rPh sb="43" eb="45">
      <t>トウエイ</t>
    </rPh>
    <rPh sb="45" eb="47">
      <t>メンセキ</t>
    </rPh>
    <phoneticPr fontId="1"/>
  </si>
  <si>
    <t>設定速度での走行抵抗合計</t>
    <rPh sb="6" eb="10">
      <t>ソウコウテイコウ</t>
    </rPh>
    <rPh sb="10" eb="12">
      <t>ゴウケイ</t>
    </rPh>
    <phoneticPr fontId="1"/>
  </si>
  <si>
    <t>設定速度巡航の 走行出力</t>
    <rPh sb="8" eb="10">
      <t>ソウコウ</t>
    </rPh>
    <rPh sb="10" eb="12">
      <t>シュツリョク</t>
    </rPh>
    <phoneticPr fontId="1"/>
  </si>
  <si>
    <t>kW</t>
    <phoneticPr fontId="1"/>
  </si>
  <si>
    <t>力×速度＝出力  FV＝Pow</t>
    <rPh sb="0" eb="1">
      <t>チカラ</t>
    </rPh>
    <rPh sb="2" eb="4">
      <t>ソクド</t>
    </rPh>
    <rPh sb="5" eb="7">
      <t>シュツリョク</t>
    </rPh>
    <phoneticPr fontId="1"/>
  </si>
  <si>
    <t>設定速度巡航のモータ換算トルク</t>
    <rPh sb="10" eb="12">
      <t>カンザン</t>
    </rPh>
    <phoneticPr fontId="1"/>
  </si>
  <si>
    <t xml:space="preserve">T=駆動力×タイヤ直径径/２/ギヤ比 </t>
    <rPh sb="2" eb="5">
      <t>クドウリョク</t>
    </rPh>
    <rPh sb="9" eb="11">
      <t>チョッケイ</t>
    </rPh>
    <rPh sb="11" eb="12">
      <t>ケイ</t>
    </rPh>
    <rPh sb="17" eb="18">
      <t>ヒ</t>
    </rPh>
    <phoneticPr fontId="1"/>
  </si>
  <si>
    <t>設定速度時のモータ回転数</t>
    <rPh sb="0" eb="5">
      <t>セッテイソクドジ</t>
    </rPh>
    <rPh sb="9" eb="12">
      <t>カイテンスウ</t>
    </rPh>
    <phoneticPr fontId="1"/>
  </si>
  <si>
    <t>rpm</t>
    <phoneticPr fontId="1"/>
  </si>
  <si>
    <t>速度/タイヤ周長×60×ギヤ比</t>
    <rPh sb="0" eb="2">
      <t>ソクド</t>
    </rPh>
    <rPh sb="6" eb="8">
      <t>シュウチョウ</t>
    </rPh>
    <rPh sb="14" eb="15">
      <t>ヒ</t>
    </rPh>
    <phoneticPr fontId="1"/>
  </si>
  <si>
    <t>0.1G加速力</t>
    <rPh sb="4" eb="6">
      <t>カソク</t>
    </rPh>
    <rPh sb="6" eb="7">
      <t>リョク</t>
    </rPh>
    <phoneticPr fontId="1"/>
  </si>
  <si>
    <t>F=ma</t>
    <phoneticPr fontId="1"/>
  </si>
  <si>
    <t>設定速度から0.1G加速の出力</t>
    <rPh sb="0" eb="4">
      <t>セッテイソクド</t>
    </rPh>
    <rPh sb="10" eb="12">
      <t>カソク</t>
    </rPh>
    <rPh sb="13" eb="15">
      <t>シュツリョク</t>
    </rPh>
    <phoneticPr fontId="1"/>
  </si>
  <si>
    <t>FV＝Pow</t>
    <phoneticPr fontId="1"/>
  </si>
  <si>
    <t>0.１G加速トルク</t>
    <rPh sb="4" eb="6">
      <t>カソク</t>
    </rPh>
    <phoneticPr fontId="1"/>
  </si>
  <si>
    <t xml:space="preserve">駆動力・タイヤ径/２/ギヤ比 </t>
    <rPh sb="0" eb="3">
      <t>クドウリョク</t>
    </rPh>
    <phoneticPr fontId="1"/>
  </si>
  <si>
    <t>設定速度必要電力（走行＋暖房）</t>
    <rPh sb="0" eb="2">
      <t>セッテイ</t>
    </rPh>
    <rPh sb="2" eb="4">
      <t>ソクド</t>
    </rPh>
    <rPh sb="4" eb="6">
      <t>ヒツヨウ</t>
    </rPh>
    <rPh sb="6" eb="8">
      <t>デンリョク</t>
    </rPh>
    <rPh sb="9" eb="11">
      <t>ソウコウ</t>
    </rPh>
    <rPh sb="12" eb="14">
      <t>ダンボウ</t>
    </rPh>
    <phoneticPr fontId="1"/>
  </si>
  <si>
    <t>走行抵抗/システム効率＋暖房</t>
    <rPh sb="0" eb="4">
      <t>ソウコウテイコウ</t>
    </rPh>
    <rPh sb="9" eb="11">
      <t>コウリツ</t>
    </rPh>
    <rPh sb="12" eb="14">
      <t>ダンボウ</t>
    </rPh>
    <phoneticPr fontId="1"/>
  </si>
  <si>
    <t>設定速度巡航距離</t>
    <rPh sb="0" eb="4">
      <t>セッテイソクド</t>
    </rPh>
    <rPh sb="4" eb="6">
      <t>ジュンコウ</t>
    </rPh>
    <rPh sb="6" eb="8">
      <t>キョリ</t>
    </rPh>
    <phoneticPr fontId="1"/>
  </si>
  <si>
    <t>km</t>
    <phoneticPr fontId="1"/>
  </si>
  <si>
    <t>持続時間（電池容量/設定速度消費電力）×毎時速度</t>
    <rPh sb="0" eb="4">
      <t>ジゾクジカン</t>
    </rPh>
    <rPh sb="5" eb="9">
      <t>デンチヨウリョウ</t>
    </rPh>
    <rPh sb="10" eb="12">
      <t>セッテイ</t>
    </rPh>
    <rPh sb="12" eb="14">
      <t>ソクド</t>
    </rPh>
    <rPh sb="14" eb="18">
      <t>ショウヒデンリョク</t>
    </rPh>
    <rPh sb="20" eb="22">
      <t>マイジ</t>
    </rPh>
    <rPh sb="22" eb="24">
      <t>ソクド</t>
    </rPh>
    <phoneticPr fontId="1"/>
  </si>
  <si>
    <t xml:space="preserve">電費 </t>
    <rPh sb="0" eb="1">
      <t>デン</t>
    </rPh>
    <rPh sb="1" eb="2">
      <t>ヒ</t>
    </rPh>
    <phoneticPr fontId="1"/>
  </si>
  <si>
    <t>㎞/kWh</t>
  </si>
  <si>
    <t>モータ設計</t>
    <rPh sb="3" eb="5">
      <t>セッケイ</t>
    </rPh>
    <phoneticPr fontId="1"/>
  </si>
  <si>
    <t>モータの外径を決める(任意）</t>
    <rPh sb="4" eb="6">
      <t>ガイケイ</t>
    </rPh>
    <rPh sb="7" eb="8">
      <t>キ</t>
    </rPh>
    <rPh sb="11" eb="13">
      <t>ニンイ</t>
    </rPh>
    <phoneticPr fontId="1"/>
  </si>
  <si>
    <t>㎜</t>
    <phoneticPr fontId="1"/>
  </si>
  <si>
    <t>ロータの外径を仮定する（実績ベース）</t>
    <rPh sb="4" eb="6">
      <t>ガイケイ</t>
    </rPh>
    <rPh sb="7" eb="9">
      <t>カテイ</t>
    </rPh>
    <rPh sb="12" eb="14">
      <t>ジッセキ</t>
    </rPh>
    <phoneticPr fontId="1"/>
  </si>
  <si>
    <t>Ds×0.65</t>
    <phoneticPr fontId="1"/>
  </si>
  <si>
    <t xml:space="preserve">最大トルクからロータ（モータ）の軸長Lcが決まる
TVRは176kNm/m3で設定 </t>
    <rPh sb="0" eb="2">
      <t>サイダイ</t>
    </rPh>
    <rPh sb="16" eb="18">
      <t>ジクチョウ</t>
    </rPh>
    <rPh sb="21" eb="22">
      <t>キ</t>
    </rPh>
    <rPh sb="39" eb="41">
      <t>セッテイ</t>
    </rPh>
    <phoneticPr fontId="1"/>
  </si>
  <si>
    <t>T/（π/4・ Dr²Lc） ＝TRV ; Lc=T/（πDr²//4 ）/TRV</t>
    <phoneticPr fontId="1"/>
  </si>
  <si>
    <t>ハイグリップ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</si>
</sst>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"/>
    <numFmt numFmtId="178" formatCode="0.0"/>
  </numFmts>
  <fonts count="2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i/>
      <sz val="12"/>
      <color rgb="FF424242"/>
      <name val="メイリオ"/>
      <family val="3"/>
      <charset val="128"/>
    </font>
    <font>
      <i/>
      <vertAlign val="superscript"/>
      <sz val="12"/>
      <color rgb="FF424242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8" tint="-0.499984740745262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0070C0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name val="游ゴシック"/>
      <family val="3"/>
      <charset val="128"/>
      <scheme val="minor"/>
    </font>
    <font>
      <b/>
      <sz val="11"/>
      <name val="メイリオ"/>
      <family val="3"/>
      <charset val="128"/>
    </font>
    <font>
      <i/>
      <sz val="11"/>
      <color theme="1"/>
      <name val="メイリオ"/>
      <family val="3"/>
      <charset val="128"/>
    </font>
    <font>
      <b/>
      <i/>
      <sz val="11"/>
      <name val="メイリオ"/>
      <family val="3"/>
      <charset val="128"/>
    </font>
    <font>
      <b/>
      <sz val="11"/>
      <color theme="4" tint="-0.499984740745262"/>
      <name val="游ゴシック"/>
      <family val="3"/>
      <charset val="128"/>
      <scheme val="minor"/>
    </font>
    <font>
      <b/>
      <sz val="11"/>
      <color theme="0"/>
      <name val="Meiryo UI"/>
      <family val="3"/>
      <charset val="128"/>
    </font>
    <font>
      <b/>
      <sz val="9"/>
      <color indexed="81"/>
      <name val="MS P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3" fillId="7" borderId="1" xfId="0" applyFont="1" applyFill="1" applyBorder="1">
      <alignment vertical="center"/>
    </xf>
    <xf numFmtId="0" fontId="13" fillId="7" borderId="1" xfId="0" applyFont="1" applyFill="1" applyBorder="1" applyAlignment="1">
      <alignment horizontal="center" vertical="center"/>
    </xf>
    <xf numFmtId="2" fontId="13" fillId="7" borderId="1" xfId="0" applyNumberFormat="1" applyFont="1" applyFill="1" applyBorder="1" applyAlignment="1">
      <alignment horizontal="center" vertical="center"/>
    </xf>
    <xf numFmtId="176" fontId="13" fillId="7" borderId="1" xfId="0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10" fillId="3" borderId="2" xfId="0" applyFont="1" applyFill="1" applyBorder="1">
      <alignment vertical="center"/>
    </xf>
    <xf numFmtId="0" fontId="14" fillId="9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1" fillId="4" borderId="2" xfId="0" applyFont="1" applyFill="1" applyBorder="1">
      <alignment vertical="center"/>
    </xf>
    <xf numFmtId="0" fontId="14" fillId="4" borderId="2" xfId="0" applyFont="1" applyFill="1" applyBorder="1">
      <alignment vertical="center"/>
    </xf>
    <xf numFmtId="0" fontId="16" fillId="0" borderId="0" xfId="0" applyFont="1">
      <alignment vertical="center"/>
    </xf>
    <xf numFmtId="178" fontId="16" fillId="0" borderId="0" xfId="0" applyNumberFormat="1" applyFont="1">
      <alignment vertical="center"/>
    </xf>
    <xf numFmtId="0" fontId="8" fillId="5" borderId="2" xfId="0" applyFont="1" applyFill="1" applyBorder="1">
      <alignment vertical="center"/>
    </xf>
    <xf numFmtId="178" fontId="8" fillId="5" borderId="2" xfId="0" applyNumberFormat="1" applyFont="1" applyFill="1" applyBorder="1">
      <alignment vertical="center"/>
    </xf>
    <xf numFmtId="0" fontId="0" fillId="5" borderId="2" xfId="0" applyFill="1" applyBorder="1">
      <alignment vertical="center"/>
    </xf>
    <xf numFmtId="0" fontId="9" fillId="6" borderId="2" xfId="0" applyFont="1" applyFill="1" applyBorder="1">
      <alignment vertical="center"/>
    </xf>
    <xf numFmtId="0" fontId="3" fillId="6" borderId="2" xfId="0" applyFont="1" applyFill="1" applyBorder="1">
      <alignment vertical="center"/>
    </xf>
    <xf numFmtId="1" fontId="8" fillId="5" borderId="2" xfId="0" applyNumberFormat="1" applyFont="1" applyFill="1" applyBorder="1">
      <alignment vertical="center"/>
    </xf>
    <xf numFmtId="2" fontId="11" fillId="5" borderId="2" xfId="0" applyNumberFormat="1" applyFont="1" applyFill="1" applyBorder="1">
      <alignment vertical="center"/>
    </xf>
    <xf numFmtId="178" fontId="2" fillId="6" borderId="2" xfId="0" applyNumberFormat="1" applyFont="1" applyFill="1" applyBorder="1">
      <alignment vertical="center"/>
    </xf>
    <xf numFmtId="0" fontId="10" fillId="6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12" fillId="2" borderId="2" xfId="0" applyFont="1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7" borderId="1" xfId="0" applyFill="1" applyBorder="1" applyAlignment="1">
      <alignment horizontal="centerContinuous" vertical="center"/>
    </xf>
    <xf numFmtId="0" fontId="18" fillId="7" borderId="1" xfId="0" applyFont="1" applyFill="1" applyBorder="1" applyAlignment="1">
      <alignment horizontal="centerContinuous" vertical="center"/>
    </xf>
    <xf numFmtId="0" fontId="8" fillId="5" borderId="4" xfId="0" applyFont="1" applyFill="1" applyBorder="1" applyAlignment="1">
      <alignment horizontal="centerContinuous" vertical="center"/>
    </xf>
    <xf numFmtId="0" fontId="0" fillId="5" borderId="4" xfId="0" applyFill="1" applyBorder="1" applyAlignment="1">
      <alignment horizontal="centerContinuous" vertical="center"/>
    </xf>
    <xf numFmtId="0" fontId="15" fillId="5" borderId="4" xfId="0" applyFont="1" applyFill="1" applyBorder="1">
      <alignment vertical="center"/>
    </xf>
    <xf numFmtId="0" fontId="17" fillId="5" borderId="4" xfId="0" applyFont="1" applyFill="1" applyBorder="1">
      <alignment vertical="center"/>
    </xf>
    <xf numFmtId="0" fontId="9" fillId="8" borderId="4" xfId="0" applyFont="1" applyFill="1" applyBorder="1" applyAlignment="1">
      <alignment vertical="center" wrapText="1"/>
    </xf>
    <xf numFmtId="178" fontId="9" fillId="8" borderId="4" xfId="0" applyNumberFormat="1" applyFont="1" applyFill="1" applyBorder="1">
      <alignment vertical="center"/>
    </xf>
    <xf numFmtId="0" fontId="9" fillId="8" borderId="4" xfId="0" applyFont="1" applyFill="1" applyBorder="1">
      <alignment vertical="center"/>
    </xf>
    <xf numFmtId="0" fontId="8" fillId="0" borderId="0" xfId="0" applyFont="1">
      <alignment vertical="center"/>
    </xf>
    <xf numFmtId="0" fontId="9" fillId="6" borderId="3" xfId="0" applyFont="1" applyFill="1" applyBorder="1">
      <alignment vertical="center"/>
    </xf>
    <xf numFmtId="0" fontId="3" fillId="6" borderId="0" xfId="0" applyFont="1" applyFill="1">
      <alignment vertical="center"/>
    </xf>
    <xf numFmtId="2" fontId="19" fillId="6" borderId="0" xfId="0" applyNumberFormat="1" applyFont="1" applyFill="1">
      <alignment vertical="center"/>
    </xf>
    <xf numFmtId="178" fontId="9" fillId="10" borderId="2" xfId="0" applyNumberFormat="1" applyFont="1" applyFill="1" applyBorder="1">
      <alignment vertical="center"/>
    </xf>
    <xf numFmtId="0" fontId="13" fillId="7" borderId="0" xfId="0" applyFont="1" applyFill="1">
      <alignment vertical="center"/>
    </xf>
    <xf numFmtId="176" fontId="13" fillId="7" borderId="0" xfId="0" applyNumberFormat="1" applyFont="1" applyFill="1" applyAlignment="1">
      <alignment horizontal="center" vertical="center"/>
    </xf>
    <xf numFmtId="0" fontId="13" fillId="7" borderId="5" xfId="0" applyFont="1" applyFill="1" applyBorder="1">
      <alignment vertical="center"/>
    </xf>
    <xf numFmtId="176" fontId="13" fillId="7" borderId="5" xfId="0" applyNumberFormat="1" applyFont="1" applyFill="1" applyBorder="1" applyAlignment="1">
      <alignment horizontal="center" vertical="center"/>
    </xf>
    <xf numFmtId="0" fontId="13" fillId="7" borderId="4" xfId="0" applyFont="1" applyFill="1" applyBorder="1">
      <alignment vertical="center"/>
    </xf>
    <xf numFmtId="176" fontId="13" fillId="7" borderId="4" xfId="0" applyNumberFormat="1" applyFont="1" applyFill="1" applyBorder="1" applyAlignment="1">
      <alignment horizontal="center" vertical="center"/>
    </xf>
    <xf numFmtId="178" fontId="9" fillId="11" borderId="2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123825</xdr:rowOff>
    </xdr:from>
    <xdr:to>
      <xdr:col>7</xdr:col>
      <xdr:colOff>1628775</xdr:colOff>
      <xdr:row>7</xdr:row>
      <xdr:rowOff>85725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775B44A5-25B6-413E-853D-4E7D890B4DB9}"/>
            </a:ext>
          </a:extLst>
        </xdr:cNvPr>
        <xdr:cNvSpPr/>
      </xdr:nvSpPr>
      <xdr:spPr>
        <a:xfrm>
          <a:off x="7677150" y="838200"/>
          <a:ext cx="1609725" cy="914400"/>
        </a:xfrm>
        <a:prstGeom prst="rightArrow">
          <a:avLst>
            <a:gd name="adj1" fmla="val 35417"/>
            <a:gd name="adj2" fmla="val 760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142567</xdr:colOff>
      <xdr:row>12</xdr:row>
      <xdr:rowOff>222719</xdr:rowOff>
    </xdr:from>
    <xdr:to>
      <xdr:col>7</xdr:col>
      <xdr:colOff>1383613</xdr:colOff>
      <xdr:row>14</xdr:row>
      <xdr:rowOff>98894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A6764F13-CC70-4723-8681-64E8EA357E1F}"/>
            </a:ext>
          </a:extLst>
        </xdr:cNvPr>
        <xdr:cNvSpPr/>
      </xdr:nvSpPr>
      <xdr:spPr>
        <a:xfrm rot="9744840">
          <a:off x="5390842" y="2832569"/>
          <a:ext cx="3650871" cy="352425"/>
        </a:xfrm>
        <a:prstGeom prst="rightArrow">
          <a:avLst>
            <a:gd name="adj1" fmla="val 50000"/>
            <a:gd name="adj2" fmla="val 833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6F5F-18BD-418E-9074-432A9A7A3B59}">
  <dimension ref="B2:J36"/>
  <sheetViews>
    <sheetView tabSelected="1" zoomScale="70" zoomScaleNormal="70" workbookViewId="0">
      <selection activeCell="C10" sqref="C10"/>
    </sheetView>
  </sheetViews>
  <sheetFormatPr defaultRowHeight="18.75"/>
  <cols>
    <col min="2" max="2" width="45.625" customWidth="1"/>
    <col min="3" max="3" width="16.625" customWidth="1"/>
    <col min="4" max="4" width="11.375" customWidth="1"/>
    <col min="5" max="5" width="9.625" bestFit="1" customWidth="1"/>
    <col min="6" max="6" width="11.25" customWidth="1"/>
    <col min="7" max="7" width="10.75" customWidth="1"/>
    <col min="8" max="8" width="22.125" customWidth="1"/>
    <col min="9" max="9" width="20" customWidth="1"/>
    <col min="10" max="10" width="9" bestFit="1" customWidth="1"/>
    <col min="11" max="11" width="12.375" customWidth="1"/>
  </cols>
  <sheetData>
    <row r="2" spans="2:10">
      <c r="B2" s="9" t="s">
        <v>0</v>
      </c>
      <c r="C2" s="10" t="s">
        <v>1</v>
      </c>
      <c r="D2" s="28" t="s">
        <v>2</v>
      </c>
      <c r="E2" s="29"/>
      <c r="F2" s="29"/>
      <c r="G2" s="29"/>
      <c r="I2" s="31" t="s">
        <v>3</v>
      </c>
      <c r="J2" s="30"/>
    </row>
    <row r="3" spans="2:10">
      <c r="B3" s="11" t="s">
        <v>4</v>
      </c>
      <c r="C3" s="12" t="s">
        <v>7</v>
      </c>
      <c r="D3" s="13" t="s">
        <v>6</v>
      </c>
      <c r="E3" s="13" t="s">
        <v>7</v>
      </c>
      <c r="F3" s="13" t="s">
        <v>5</v>
      </c>
      <c r="G3" s="13" t="s">
        <v>8</v>
      </c>
      <c r="I3" s="3" t="s">
        <v>9</v>
      </c>
      <c r="J3" s="4" t="str">
        <f>_xlfn.SWITCH(C3,"モビリティ","500","軽","850","普通車","1100","プレミアム","1400",0)</f>
        <v>850</v>
      </c>
    </row>
    <row r="4" spans="2:10">
      <c r="B4" s="11" t="s">
        <v>10</v>
      </c>
      <c r="C4" s="12" t="s">
        <v>11</v>
      </c>
      <c r="D4" s="13" t="s">
        <v>11</v>
      </c>
      <c r="E4" s="13" t="s">
        <v>12</v>
      </c>
      <c r="F4" s="13" t="s">
        <v>5</v>
      </c>
      <c r="G4" s="13" t="s">
        <v>13</v>
      </c>
      <c r="I4" s="3" t="s">
        <v>14</v>
      </c>
      <c r="J4" s="4">
        <f>6.6*C11+18</f>
        <v>414</v>
      </c>
    </row>
    <row r="5" spans="2:10">
      <c r="B5" s="11" t="s">
        <v>15</v>
      </c>
      <c r="C5" s="12" t="s">
        <v>16</v>
      </c>
      <c r="D5" s="13" t="s">
        <v>17</v>
      </c>
      <c r="E5" s="13" t="s">
        <v>16</v>
      </c>
      <c r="F5" s="13" t="s">
        <v>18</v>
      </c>
      <c r="G5" s="13"/>
      <c r="I5" s="3" t="s">
        <v>19</v>
      </c>
      <c r="J5" s="4">
        <f>J3+J4+65*C12</f>
        <v>1329</v>
      </c>
    </row>
    <row r="6" spans="2:10">
      <c r="B6" s="11" t="s">
        <v>20</v>
      </c>
      <c r="C6" s="12">
        <v>1650</v>
      </c>
      <c r="D6" s="13">
        <v>1000</v>
      </c>
      <c r="E6" s="13">
        <v>1480</v>
      </c>
      <c r="F6" s="13">
        <v>1650</v>
      </c>
      <c r="G6" s="13">
        <v>1800</v>
      </c>
      <c r="I6" s="3" t="s">
        <v>21</v>
      </c>
      <c r="J6" s="4" t="str" cm="1">
        <f t="array" ref="J6">_xlfn.SWITCH(C4,"先進流線形","0.17","プリウス","0.23","普通車","0.3","SUV","0.35")</f>
        <v>0.17</v>
      </c>
    </row>
    <row r="7" spans="2:10">
      <c r="B7" s="11" t="s">
        <v>22</v>
      </c>
      <c r="C7" s="12">
        <v>1500</v>
      </c>
      <c r="D7" s="13">
        <v>1300</v>
      </c>
      <c r="E7" s="13">
        <v>1500</v>
      </c>
      <c r="F7" s="13">
        <v>1800</v>
      </c>
      <c r="G7" s="13">
        <v>2000</v>
      </c>
      <c r="I7" s="3" t="s">
        <v>23</v>
      </c>
      <c r="J7" s="5">
        <f>C6*C7/1000000</f>
        <v>2.4750000000000001</v>
      </c>
    </row>
    <row r="8" spans="2:10" ht="18.600000000000001" customHeight="1">
      <c r="B8" s="11" t="s">
        <v>24</v>
      </c>
      <c r="C8" s="12">
        <v>35</v>
      </c>
      <c r="D8" s="13">
        <v>25</v>
      </c>
      <c r="E8" s="13">
        <v>35</v>
      </c>
      <c r="F8" s="13">
        <v>45</v>
      </c>
      <c r="G8" s="13"/>
      <c r="I8" s="3" t="s">
        <v>25</v>
      </c>
      <c r="J8" s="6" t="str" cm="1">
        <f t="array" ref="J8">_xlfn.SWITCH(C10,"エコ","0.0065","普通","0.008","ハイグリップ","0.010",0)</f>
        <v>0.010</v>
      </c>
    </row>
    <row r="9" spans="2:10">
      <c r="B9" s="11" t="s">
        <v>26</v>
      </c>
      <c r="C9" s="12">
        <v>550</v>
      </c>
      <c r="D9" s="13">
        <v>500</v>
      </c>
      <c r="E9" s="13">
        <v>550</v>
      </c>
      <c r="F9" s="13">
        <v>600</v>
      </c>
      <c r="G9" s="13">
        <v>800</v>
      </c>
      <c r="I9" s="46" t="s">
        <v>15</v>
      </c>
      <c r="J9" s="47" t="str" cm="1">
        <f t="array" ref="J9">_xlfn.SWITCH(C5,"加速重視","12","普通","9","最高速重視","8",0)</f>
        <v>9</v>
      </c>
    </row>
    <row r="10" spans="2:10">
      <c r="B10" s="11" t="s">
        <v>27</v>
      </c>
      <c r="C10" s="12" t="s">
        <v>81</v>
      </c>
      <c r="D10" s="13" t="s">
        <v>28</v>
      </c>
      <c r="E10" s="13" t="s">
        <v>16</v>
      </c>
      <c r="F10" s="13" t="s">
        <v>29</v>
      </c>
      <c r="G10" s="13" t="s">
        <v>30</v>
      </c>
      <c r="I10" s="48" t="s">
        <v>31</v>
      </c>
      <c r="J10" s="49" t="str" cm="1">
        <f t="array" ref="J10">_xlfn.SWITCH(C14,"最高レベル","0.9","高効率","0.85","汎用","0.80",0)</f>
        <v>0.85</v>
      </c>
    </row>
    <row r="11" spans="2:10">
      <c r="B11" s="11" t="s">
        <v>32</v>
      </c>
      <c r="C11" s="12">
        <v>60</v>
      </c>
      <c r="D11" s="13">
        <v>10</v>
      </c>
      <c r="E11" s="13">
        <v>20</v>
      </c>
      <c r="F11" s="13">
        <v>60</v>
      </c>
      <c r="G11" s="13">
        <v>100</v>
      </c>
      <c r="I11" s="48" t="s">
        <v>33</v>
      </c>
      <c r="J11" s="49" t="str" cm="1">
        <f t="array" ref="J11">_xlfn.SWITCH(C15,"あり","3","なし","0",0)</f>
        <v>0</v>
      </c>
    </row>
    <row r="12" spans="2:10">
      <c r="B12" s="11" t="s">
        <v>34</v>
      </c>
      <c r="C12" s="12">
        <v>1</v>
      </c>
      <c r="D12" s="13">
        <v>1</v>
      </c>
      <c r="E12" s="13">
        <v>2</v>
      </c>
      <c r="F12" s="13">
        <v>4</v>
      </c>
      <c r="G12" s="13">
        <v>6</v>
      </c>
      <c r="I12" s="44"/>
      <c r="J12" s="45"/>
    </row>
    <row r="13" spans="2:10">
      <c r="B13" s="14" t="s">
        <v>35</v>
      </c>
      <c r="C13" s="12">
        <v>100</v>
      </c>
      <c r="D13" s="27">
        <v>60</v>
      </c>
      <c r="E13" s="27">
        <v>80</v>
      </c>
      <c r="F13" s="27">
        <v>100</v>
      </c>
      <c r="G13" s="27">
        <v>180</v>
      </c>
    </row>
    <row r="14" spans="2:10">
      <c r="B14" s="14" t="s">
        <v>31</v>
      </c>
      <c r="C14" s="12" t="s">
        <v>36</v>
      </c>
      <c r="D14" s="27" t="s">
        <v>37</v>
      </c>
      <c r="E14" s="27" t="s">
        <v>36</v>
      </c>
      <c r="F14" s="27" t="s">
        <v>38</v>
      </c>
      <c r="G14" s="27"/>
    </row>
    <row r="15" spans="2:10">
      <c r="B15" s="15" t="s">
        <v>39</v>
      </c>
      <c r="C15" s="12" t="s">
        <v>40</v>
      </c>
      <c r="D15" s="27" t="s">
        <v>41</v>
      </c>
      <c r="E15" s="27" t="s">
        <v>42</v>
      </c>
      <c r="F15" s="27"/>
      <c r="G15" s="27"/>
    </row>
    <row r="16" spans="2:10">
      <c r="B16" s="7"/>
      <c r="C16" s="8"/>
    </row>
    <row r="17" spans="2:8" ht="21.75">
      <c r="B17" s="18" t="s">
        <v>43</v>
      </c>
      <c r="C17" s="19">
        <f>J5*9.8*SIN(RADIANS(C8))</f>
        <v>7470.3742223232939</v>
      </c>
      <c r="D17" s="20" t="s">
        <v>44</v>
      </c>
      <c r="E17" s="1" t="s">
        <v>45</v>
      </c>
      <c r="F17" s="2"/>
      <c r="G17" s="2"/>
      <c r="H17" s="2"/>
    </row>
    <row r="18" spans="2:8" ht="19.5">
      <c r="B18" s="21" t="s">
        <v>46</v>
      </c>
      <c r="C18" s="43">
        <f>C17*$C$9/1000/2/$J$9</f>
        <v>228.26143457098954</v>
      </c>
      <c r="D18" s="22" t="s">
        <v>47</v>
      </c>
      <c r="F18" s="2"/>
      <c r="G18" s="2"/>
      <c r="H18" s="2"/>
    </row>
    <row r="19" spans="2:8" ht="19.5">
      <c r="B19" s="18"/>
      <c r="C19" s="19"/>
      <c r="D19" s="20"/>
      <c r="E19" s="16"/>
      <c r="F19" s="2"/>
      <c r="G19" s="2"/>
      <c r="H19" s="2"/>
    </row>
    <row r="20" spans="2:8" ht="21.75">
      <c r="B20" s="18" t="s">
        <v>48</v>
      </c>
      <c r="C20" s="19">
        <f>J5*9.8*J8</f>
        <v>130.24200000000002</v>
      </c>
      <c r="D20" s="20" t="s">
        <v>44</v>
      </c>
      <c r="E20" s="1" t="s">
        <v>49</v>
      </c>
    </row>
    <row r="21" spans="2:8" ht="21.75">
      <c r="B21" s="18" t="s">
        <v>50</v>
      </c>
      <c r="C21" s="19">
        <f>1/2 * 1.2  * J6 *J7 *($C$13*0.27)^2</f>
        <v>184.03605000000002</v>
      </c>
      <c r="D21" s="20" t="s">
        <v>44</v>
      </c>
      <c r="E21" s="1" t="s">
        <v>51</v>
      </c>
    </row>
    <row r="22" spans="2:8" ht="19.5">
      <c r="B22" s="18" t="s">
        <v>52</v>
      </c>
      <c r="C22" s="19">
        <f>C21+C20</f>
        <v>314.27805000000001</v>
      </c>
      <c r="D22" s="20" t="s">
        <v>44</v>
      </c>
      <c r="E22" s="1"/>
    </row>
    <row r="23" spans="2:8" ht="19.5">
      <c r="B23" s="21" t="s">
        <v>53</v>
      </c>
      <c r="C23" s="50">
        <f>C22*$C$13/3.6/1000</f>
        <v>8.7299458333333337</v>
      </c>
      <c r="D23" s="22" t="s">
        <v>54</v>
      </c>
      <c r="E23" s="1" t="s">
        <v>55</v>
      </c>
    </row>
    <row r="24" spans="2:8">
      <c r="B24" s="21" t="s">
        <v>56</v>
      </c>
      <c r="C24" s="43">
        <f>C22*(C9/2/1000)/J9</f>
        <v>9.6029404166666676</v>
      </c>
      <c r="D24" s="22" t="s">
        <v>47</v>
      </c>
      <c r="E24" s="16" t="s">
        <v>57</v>
      </c>
    </row>
    <row r="25" spans="2:8">
      <c r="B25" s="18" t="s">
        <v>58</v>
      </c>
      <c r="C25" s="23">
        <f>C13/3.6/(PI()*C9/1000)*J9*60</f>
        <v>8681.1787141033819</v>
      </c>
      <c r="D25" s="20" t="s">
        <v>59</v>
      </c>
      <c r="E25" s="17" t="s">
        <v>60</v>
      </c>
    </row>
    <row r="26" spans="2:8">
      <c r="B26" s="18" t="s">
        <v>61</v>
      </c>
      <c r="C26" s="23">
        <f>0.1*9.8*J5</f>
        <v>1302.42</v>
      </c>
      <c r="D26" s="20" t="s">
        <v>44</v>
      </c>
      <c r="E26" s="16" t="s">
        <v>62</v>
      </c>
    </row>
    <row r="27" spans="2:8">
      <c r="B27" s="21" t="s">
        <v>63</v>
      </c>
      <c r="C27" s="50">
        <f>C26*C13/3.6/1000+C23</f>
        <v>44.908279166666667</v>
      </c>
      <c r="D27" s="22" t="s">
        <v>54</v>
      </c>
      <c r="E27" s="16" t="s">
        <v>64</v>
      </c>
    </row>
    <row r="28" spans="2:8">
      <c r="B28" s="18" t="s">
        <v>65</v>
      </c>
      <c r="C28" s="19">
        <f>C26*(C9/1000/2)/J9</f>
        <v>39.796166666666672</v>
      </c>
      <c r="D28" s="20" t="s">
        <v>47</v>
      </c>
      <c r="E28" s="16" t="s">
        <v>66</v>
      </c>
    </row>
    <row r="29" spans="2:8">
      <c r="B29" s="18" t="s">
        <v>67</v>
      </c>
      <c r="C29" s="24">
        <f>C23/+J10+J11</f>
        <v>10.270524509803922</v>
      </c>
      <c r="D29" s="20" t="s">
        <v>54</v>
      </c>
      <c r="E29" s="16" t="s">
        <v>68</v>
      </c>
    </row>
    <row r="30" spans="2:8">
      <c r="B30" s="21" t="s">
        <v>69</v>
      </c>
      <c r="C30" s="25">
        <f>C11/C29*C13</f>
        <v>584.19606459948443</v>
      </c>
      <c r="D30" s="26" t="s">
        <v>70</v>
      </c>
      <c r="E30" s="16" t="s">
        <v>71</v>
      </c>
    </row>
    <row r="31" spans="2:8">
      <c r="B31" s="40" t="s">
        <v>72</v>
      </c>
      <c r="C31" s="42">
        <f>C30/C11</f>
        <v>9.7366010766580739</v>
      </c>
      <c r="D31" s="41" t="s">
        <v>73</v>
      </c>
    </row>
    <row r="32" spans="2:8">
      <c r="B32" s="39"/>
    </row>
    <row r="33" spans="2:5">
      <c r="B33" s="32" t="s">
        <v>74</v>
      </c>
      <c r="C33" s="33"/>
      <c r="D33" s="33"/>
      <c r="E33" s="33"/>
    </row>
    <row r="34" spans="2:5">
      <c r="B34" s="34" t="s">
        <v>75</v>
      </c>
      <c r="C34" s="34">
        <v>236.2</v>
      </c>
      <c r="D34" s="34" t="s">
        <v>76</v>
      </c>
      <c r="E34" s="34"/>
    </row>
    <row r="35" spans="2:5">
      <c r="B35" s="34" t="s">
        <v>77</v>
      </c>
      <c r="C35" s="34">
        <f>C34*0.65</f>
        <v>153.53</v>
      </c>
      <c r="D35" s="34" t="s">
        <v>76</v>
      </c>
      <c r="E35" s="35" t="s">
        <v>78</v>
      </c>
    </row>
    <row r="36" spans="2:5" ht="37.5">
      <c r="B36" s="36" t="s">
        <v>79</v>
      </c>
      <c r="C36" s="37">
        <f>C18/((C35*0.001)^2*PI()/4)/176000*1000</f>
        <v>70.055702651575857</v>
      </c>
      <c r="D36" s="38" t="s">
        <v>76</v>
      </c>
      <c r="E36" s="35" t="s">
        <v>80</v>
      </c>
    </row>
  </sheetData>
  <phoneticPr fontId="1"/>
  <dataValidations count="1">
    <dataValidation type="list" allowBlank="1" showInputMessage="1" showErrorMessage="1" sqref="C3:C16" xr:uid="{30D37067-6395-4EA9-A3E8-EA6F6EB7BAE9}">
      <formula1>$D3:$G3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H w v V s Z g z c a l A A A A 9 g A A A B I A H A B D b 2 5 m a W c v U G F j a 2 F n Z S 5 4 b W w g o h g A K K A U A A A A A A A A A A A A A A A A A A A A A A A A A A A A h Y 9 L C s I w G I S v U r J v X o J I + Z s u 3 I m F g i B u Q x p r t E 2 l S U 3 v 5 s I j e Q U r W n X n c m a + g Z n 7 9 Q b Z 0 N T R R X f O t D Z F D F M U a a v a 0 t g q R b 3 f x w u U C S i k O s l K R y N s X T I 4 k 6 K D 9 + e E k B A C D j P c d h X h l D K y y 9 c b d d C N j I 1 1 X l q l 0 a d V / m 8 h A d v X G M E x Y w z P K c c U y G R C b u w X 4 O P e Z / p j w r K v f d 9 p c Z T x q g A y S S D v D + I B U E s D B B Q A A g A I A I x 8 L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M f C 9 W K I p H u A 4 A A A A R A A A A E w A c A E Z v c m 1 1 b G F z L 1 N l Y 3 R p b 2 4 x L m 0 g o h g A K K A U A A A A A A A A A A A A A A A A A A A A A A A A A A A A K 0 5 N L s n M z 1 M I h t C G 1 g B Q S w E C L Q A U A A I A C A C M f C 9 W x m D N x q U A A A D 2 A A A A E g A A A A A A A A A A A A A A A A A A A A A A Q 2 9 u Z m l n L 1 B h Y 2 t h Z 2 U u e G 1 s U E s B A i 0 A F A A C A A g A j H w v V g / K 6 a u k A A A A 6 Q A A A B M A A A A A A A A A A A A A A A A A 8 Q A A A F t D b 2 5 0 Z W 5 0 X 1 R 5 c G V z X S 5 4 b W x Q S w E C L Q A U A A I A C A C M f C 9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j J 1 + / L V D k G u h V d L I A t H 8 g A A A A A C A A A A A A A Q Z g A A A A E A A C A A A A C o p Z / k e p t m G p t D b w s 1 t 4 V R p k J J g z f K f A 7 h E A 0 y y c m X 7 w A A A A A O g A A A A A I A A C A A A A B 2 O 2 E T f W 7 y j 5 m G 4 a q r Z q 1 T i z r H Y q r W A E e 7 A W C i g V o z 0 1 A A A A B j h f l k s d / z s V u I y 1 I D x 7 S m r Y X 9 m 8 S 7 9 D B 2 z E o c f 1 J k I I R f r Y s I C 9 R c a T d 4 F 1 Q 7 t B 7 z M Z g 0 h w 4 U o o Y p N A i 9 U s o L J 7 7 C F 6 D + J F I L b i F g 9 U C n e U A A A A B y 8 3 z / c Z 5 4 p o 7 u P 5 V o 7 U S n P h R y t F 7 D 5 A / q S C Q 4 a 8 g h I 0 D S a p s 3 G / x a d w x U M j R Y i l t E c I i X R 4 8 5 L i F e h 8 t 5 q E i B < / D a t a M a s h u p > 
</file>

<file path=customXml/itemProps1.xml><?xml version="1.0" encoding="utf-8"?>
<ds:datastoreItem xmlns:ds="http://schemas.openxmlformats.org/officeDocument/2006/customXml" ds:itemID="{176E2300-8303-4FCC-9AE4-7C19FA8F359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BEV仕様決定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masaya inoue</cp:lastModifiedBy>
  <cp:revision/>
  <dcterms:created xsi:type="dcterms:W3CDTF">2023-01-13T11:14:49Z</dcterms:created>
  <dcterms:modified xsi:type="dcterms:W3CDTF">2025-07-30T13:27:23Z</dcterms:modified>
  <cp:category/>
  <cp:contentStatus/>
</cp:coreProperties>
</file>